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h8Dtz64WghbOYiA5MZywPFfpWZvA=="/>
    </ext>
  </extLst>
</workbook>
</file>

<file path=xl/sharedStrings.xml><?xml version="1.0" encoding="utf-8"?>
<sst xmlns="http://schemas.openxmlformats.org/spreadsheetml/2006/main" count="61" uniqueCount="41">
  <si>
    <t>No.</t>
  </si>
  <si>
    <t>Jenis Penggunaan</t>
  </si>
  <si>
    <t>Unit Pengelola Program Studi</t>
  </si>
  <si>
    <t>Program Studi IP S3</t>
  </si>
  <si>
    <t>Program Studi PTK S3</t>
  </si>
  <si>
    <t>Program Studi PEP S3</t>
  </si>
  <si>
    <t>Program Studi S2 PEP</t>
  </si>
  <si>
    <t>Program Studi S2 PTK</t>
  </si>
  <si>
    <t>Rata-rata</t>
  </si>
  <si>
    <t>Biaya Operasional Pendidikan</t>
  </si>
  <si>
    <t xml:space="preserve"> </t>
  </si>
  <si>
    <t>a. Biaya Dosen (Gaji, Honor)</t>
  </si>
  <si>
    <t>b. Biaya Tenaga Kependidikan</t>
  </si>
  <si>
    <t>c. Biaya Operasional Pembelajaran</t>
  </si>
  <si>
    <t>( Bahan dan Peralatan Habis Pakai)</t>
  </si>
  <si>
    <t>d. Biaya Operasional Tidak Langsung</t>
  </si>
  <si>
    <t>(Listrik, Gas, Air, Pemeliharaan gedung, Pemeliharaan sarana, uang lembur, telekomunikasi, konsumsi, transport lokal, asuransi, dll)</t>
  </si>
  <si>
    <t>Biaya Operasional Kemahasiswaan</t>
  </si>
  <si>
    <t>Jumlah</t>
  </si>
  <si>
    <t>Biaya Penelitian</t>
  </si>
  <si>
    <t>Biaya PPM</t>
  </si>
  <si>
    <t>Biaya Investasi SDM</t>
  </si>
  <si>
    <t>Biaya Investasi  Sarana</t>
  </si>
  <si>
    <t>Biaya Inventasi Prasarana</t>
  </si>
  <si>
    <t>Total</t>
  </si>
  <si>
    <t>Rerata per prodi</t>
  </si>
  <si>
    <t>Jumlah Prodi</t>
  </si>
  <si>
    <t>37 Prodi</t>
  </si>
  <si>
    <t>5 prodi</t>
  </si>
  <si>
    <t>per tahun</t>
  </si>
  <si>
    <t>Jumlah Mhs</t>
  </si>
  <si>
    <t xml:space="preserve">Biaya Operasional </t>
  </si>
  <si>
    <t>Jumlah Dosen</t>
  </si>
  <si>
    <t>tendik</t>
  </si>
  <si>
    <t>Peneitian</t>
  </si>
  <si>
    <t>PPm</t>
  </si>
  <si>
    <t xml:space="preserve">catatan </t>
  </si>
  <si>
    <t>Dana Penelitian dan PPm tahun 2021 masih ada yg belum dimasukkan</t>
  </si>
  <si>
    <t>PEP</t>
  </si>
  <si>
    <t>PTK</t>
  </si>
  <si>
    <t>IP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</si>
</sst>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_-;\-* #,##0_-;_-* &quot;-&quot;_-;_-@"/>
  </numFmts>
  <fonts count="9">
    <font>
      <sz val="11.0"/>
      <color theme="1"/>
      <name val="Calibri"/>
    </font>
    <font/>
    <font>
      <sz val="10.0"/>
      <color theme="1"/>
      <name val="Calibri"/>
    </font>
    <font>
      <b/>
      <sz val="11.0"/>
      <color theme="1"/>
      <name val="Calibri"/>
    </font>
    <font>
      <b/>
      <i/>
      <sz val="10.0"/>
      <color theme="1"/>
      <name val="Calibri"/>
    </font>
    <font>
      <sz val="11.0"/>
      <color theme="0"/>
      <name val="Calibri"/>
    </font>
    <font>
      <color theme="1"/>
      <name val="Calibri"/>
    </font>
    <font>
      <i/>
      <sz val="11.0"/>
      <color theme="1"/>
      <name val="Calibri"/>
    </font>
    <font>
      <b/>
      <i/>
      <sz val="11.0"/>
      <color theme="1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8EAADB"/>
        <bgColor rgb="FF8EAADB"/>
      </patternFill>
    </fill>
    <fill>
      <patternFill patternType="solid">
        <fgColor rgb="FFF7CAAC"/>
        <bgColor rgb="FFF7CAAC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rgb="FFF2F2F2"/>
        <bgColor rgb="FFF2F2F2"/>
      </patternFill>
    </fill>
    <fill>
      <patternFill patternType="solid">
        <fgColor rgb="FFD9D2E9"/>
        <bgColor rgb="FFD9D2E9"/>
      </patternFill>
    </fill>
  </fills>
  <borders count="27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/>
      <right style="thin">
        <color rgb="FF000000"/>
      </right>
      <top/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right/>
      <top/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bottom style="thin">
        <color rgb="FF000000"/>
      </bottom>
    </border>
    <border>
      <left style="thin">
        <color rgb="FF000000"/>
      </left>
      <right/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84">
    <xf borderId="0" fillId="0" fontId="0" numFmtId="0" xfId="0" applyAlignment="1" applyFont="1">
      <alignment readingOrder="0" shrinkToFit="0" vertical="bottom" wrapText="0"/>
    </xf>
    <xf borderId="1" fillId="0" fontId="0" numFmtId="0" xfId="0" applyAlignment="1" applyBorder="1" applyFont="1">
      <alignment horizontal="center" vertical="center"/>
    </xf>
    <xf borderId="2" fillId="2" fontId="0" numFmtId="0" xfId="0" applyAlignment="1" applyBorder="1" applyFill="1" applyFont="1">
      <alignment horizontal="center"/>
    </xf>
    <xf borderId="3" fillId="0" fontId="1" numFmtId="0" xfId="0" applyBorder="1" applyFont="1"/>
    <xf borderId="4" fillId="0" fontId="1" numFmtId="0" xfId="0" applyBorder="1" applyFont="1"/>
    <xf borderId="2" fillId="0" fontId="0" numFmtId="0" xfId="0" applyAlignment="1" applyBorder="1" applyFont="1">
      <alignment horizontal="center"/>
    </xf>
    <xf borderId="2" fillId="3" fontId="0" numFmtId="0" xfId="0" applyAlignment="1" applyBorder="1" applyFill="1" applyFont="1">
      <alignment horizontal="center"/>
    </xf>
    <xf borderId="2" fillId="4" fontId="0" numFmtId="0" xfId="0" applyAlignment="1" applyBorder="1" applyFill="1" applyFont="1">
      <alignment horizontal="center"/>
    </xf>
    <xf borderId="5" fillId="0" fontId="1" numFmtId="0" xfId="0" applyBorder="1" applyFont="1"/>
    <xf borderId="6" fillId="2" fontId="0" numFmtId="0" xfId="0" applyAlignment="1" applyBorder="1" applyFont="1">
      <alignment horizontal="center"/>
    </xf>
    <xf borderId="6" fillId="0" fontId="0" numFmtId="0" xfId="0" applyAlignment="1" applyBorder="1" applyFont="1">
      <alignment horizontal="center"/>
    </xf>
    <xf borderId="6" fillId="3" fontId="0" numFmtId="0" xfId="0" applyAlignment="1" applyBorder="1" applyFont="1">
      <alignment horizontal="center"/>
    </xf>
    <xf borderId="6" fillId="4" fontId="0" numFmtId="0" xfId="0" applyAlignment="1" applyBorder="1" applyFont="1">
      <alignment horizontal="center"/>
    </xf>
    <xf borderId="6" fillId="0" fontId="0" numFmtId="0" xfId="0" applyBorder="1" applyFont="1"/>
    <xf borderId="6" fillId="2" fontId="2" numFmtId="164" xfId="0" applyAlignment="1" applyBorder="1" applyFont="1" applyNumberFormat="1">
      <alignment horizontal="center"/>
    </xf>
    <xf borderId="6" fillId="0" fontId="0" numFmtId="164" xfId="0" applyAlignment="1" applyBorder="1" applyFont="1" applyNumberFormat="1">
      <alignment horizontal="center"/>
    </xf>
    <xf borderId="6" fillId="3" fontId="0" numFmtId="164" xfId="0" applyAlignment="1" applyBorder="1" applyFont="1" applyNumberFormat="1">
      <alignment horizontal="center"/>
    </xf>
    <xf borderId="6" fillId="4" fontId="0" numFmtId="164" xfId="0" applyAlignment="1" applyBorder="1" applyFont="1" applyNumberFormat="1">
      <alignment horizontal="center"/>
    </xf>
    <xf borderId="1" fillId="0" fontId="0" numFmtId="0" xfId="0" applyBorder="1" applyFont="1"/>
    <xf borderId="7" fillId="2" fontId="2" numFmtId="164" xfId="0" applyAlignment="1" applyBorder="1" applyFont="1" applyNumberFormat="1">
      <alignment horizontal="center"/>
    </xf>
    <xf borderId="1" fillId="0" fontId="0" numFmtId="164" xfId="0" applyAlignment="1" applyBorder="1" applyFont="1" applyNumberFormat="1">
      <alignment vertical="center"/>
    </xf>
    <xf borderId="7" fillId="3" fontId="0" numFmtId="164" xfId="0" applyAlignment="1" applyBorder="1" applyFont="1" applyNumberFormat="1">
      <alignment vertical="center"/>
    </xf>
    <xf borderId="7" fillId="4" fontId="0" numFmtId="164" xfId="0" applyAlignment="1" applyBorder="1" applyFont="1" applyNumberFormat="1">
      <alignment vertical="center"/>
    </xf>
    <xf borderId="2" fillId="0" fontId="0" numFmtId="0" xfId="0" applyBorder="1" applyFont="1"/>
    <xf borderId="8" fillId="0" fontId="0" numFmtId="0" xfId="0" applyBorder="1" applyFont="1"/>
    <xf borderId="9" fillId="2" fontId="2" numFmtId="164" xfId="0" applyAlignment="1" applyBorder="1" applyFont="1" applyNumberFormat="1">
      <alignment horizontal="center"/>
    </xf>
    <xf borderId="10" fillId="2" fontId="2" numFmtId="164" xfId="0" applyAlignment="1" applyBorder="1" applyFont="1" applyNumberFormat="1">
      <alignment horizontal="center"/>
    </xf>
    <xf borderId="8" fillId="0" fontId="0" numFmtId="164" xfId="0" applyAlignment="1" applyBorder="1" applyFont="1" applyNumberFormat="1">
      <alignment vertical="center"/>
    </xf>
    <xf borderId="11" fillId="3" fontId="0" numFmtId="164" xfId="0" applyAlignment="1" applyBorder="1" applyFont="1" applyNumberFormat="1">
      <alignment vertical="center"/>
    </xf>
    <xf borderId="10" fillId="3" fontId="0" numFmtId="164" xfId="0" applyAlignment="1" applyBorder="1" applyFont="1" applyNumberFormat="1">
      <alignment vertical="center"/>
    </xf>
    <xf borderId="9" fillId="4" fontId="0" numFmtId="164" xfId="0" applyAlignment="1" applyBorder="1" applyFont="1" applyNumberFormat="1">
      <alignment vertical="center"/>
    </xf>
    <xf borderId="11" fillId="4" fontId="0" numFmtId="164" xfId="0" applyAlignment="1" applyBorder="1" applyFont="1" applyNumberFormat="1">
      <alignment vertical="center"/>
    </xf>
    <xf borderId="12" fillId="0" fontId="0" numFmtId="164" xfId="0" applyAlignment="1" applyBorder="1" applyFont="1" applyNumberFormat="1">
      <alignment vertical="center"/>
    </xf>
    <xf borderId="13" fillId="0" fontId="0" numFmtId="0" xfId="0" applyBorder="1" applyFont="1"/>
    <xf borderId="14" fillId="2" fontId="2" numFmtId="164" xfId="0" applyAlignment="1" applyBorder="1" applyFont="1" applyNumberFormat="1">
      <alignment horizontal="center"/>
    </xf>
    <xf borderId="15" fillId="2" fontId="2" numFmtId="164" xfId="0" applyAlignment="1" applyBorder="1" applyFont="1" applyNumberFormat="1">
      <alignment horizontal="center"/>
    </xf>
    <xf borderId="16" fillId="2" fontId="2" numFmtId="164" xfId="0" applyAlignment="1" applyBorder="1" applyFont="1" applyNumberFormat="1">
      <alignment horizontal="center"/>
    </xf>
    <xf borderId="13" fillId="0" fontId="0" numFmtId="164" xfId="0" applyAlignment="1" applyBorder="1" applyFont="1" applyNumberFormat="1">
      <alignment horizontal="center"/>
    </xf>
    <xf borderId="5" fillId="0" fontId="0" numFmtId="164" xfId="0" applyAlignment="1" applyBorder="1" applyFont="1" applyNumberFormat="1">
      <alignment horizontal="center"/>
    </xf>
    <xf borderId="17" fillId="3" fontId="0" numFmtId="164" xfId="0" applyAlignment="1" applyBorder="1" applyFont="1" applyNumberFormat="1">
      <alignment horizontal="center"/>
    </xf>
    <xf borderId="16" fillId="3" fontId="0" numFmtId="164" xfId="0" applyAlignment="1" applyBorder="1" applyFont="1" applyNumberFormat="1">
      <alignment horizontal="center"/>
    </xf>
    <xf borderId="14" fillId="4" fontId="0" numFmtId="164" xfId="0" applyAlignment="1" applyBorder="1" applyFont="1" applyNumberFormat="1">
      <alignment horizontal="center"/>
    </xf>
    <xf borderId="15" fillId="4" fontId="0" numFmtId="164" xfId="0" applyAlignment="1" applyBorder="1" applyFont="1" applyNumberFormat="1">
      <alignment horizontal="center"/>
    </xf>
    <xf borderId="17" fillId="4" fontId="0" numFmtId="164" xfId="0" applyAlignment="1" applyBorder="1" applyFont="1" applyNumberFormat="1">
      <alignment horizontal="center"/>
    </xf>
    <xf borderId="18" fillId="0" fontId="0" numFmtId="164" xfId="0" applyAlignment="1" applyBorder="1" applyFont="1" applyNumberFormat="1">
      <alignment horizontal="center"/>
    </xf>
    <xf borderId="19" fillId="0" fontId="0" numFmtId="0" xfId="0" applyBorder="1" applyFont="1"/>
    <xf borderId="20" fillId="2" fontId="2" numFmtId="164" xfId="0" applyAlignment="1" applyBorder="1" applyFont="1" applyNumberFormat="1">
      <alignment horizontal="center" vertical="center"/>
    </xf>
    <xf borderId="21" fillId="2" fontId="2" numFmtId="164" xfId="0" applyAlignment="1" applyBorder="1" applyFont="1" applyNumberFormat="1">
      <alignment horizontal="center" vertical="center"/>
    </xf>
    <xf borderId="22" fillId="2" fontId="2" numFmtId="164" xfId="0" applyAlignment="1" applyBorder="1" applyFont="1" applyNumberFormat="1">
      <alignment horizontal="center" vertical="center"/>
    </xf>
    <xf borderId="23" fillId="2" fontId="2" numFmtId="164" xfId="0" applyAlignment="1" applyBorder="1" applyFont="1" applyNumberFormat="1">
      <alignment horizontal="center" vertical="center"/>
    </xf>
    <xf borderId="19" fillId="0" fontId="0" numFmtId="164" xfId="0" applyAlignment="1" applyBorder="1" applyFont="1" applyNumberFormat="1">
      <alignment horizontal="center" vertical="center"/>
    </xf>
    <xf borderId="21" fillId="3" fontId="0" numFmtId="164" xfId="0" applyAlignment="1" applyBorder="1" applyFont="1" applyNumberFormat="1">
      <alignment horizontal="center" vertical="center"/>
    </xf>
    <xf borderId="21" fillId="4" fontId="0" numFmtId="164" xfId="0" applyAlignment="1" applyBorder="1" applyFont="1" applyNumberFormat="1">
      <alignment horizontal="center" vertical="center"/>
    </xf>
    <xf borderId="5" fillId="0" fontId="0" numFmtId="0" xfId="0" applyAlignment="1" applyBorder="1" applyFont="1">
      <alignment shrinkToFit="1" wrapText="0"/>
    </xf>
    <xf borderId="24" fillId="0" fontId="1" numFmtId="0" xfId="0" applyBorder="1" applyFont="1"/>
    <xf borderId="25" fillId="0" fontId="1" numFmtId="0" xfId="0" applyBorder="1" applyFont="1"/>
    <xf borderId="15" fillId="2" fontId="2" numFmtId="164" xfId="0" applyAlignment="1" applyBorder="1" applyFont="1" applyNumberFormat="1">
      <alignment horizontal="center" vertical="center"/>
    </xf>
    <xf borderId="5" fillId="0" fontId="0" numFmtId="0" xfId="0" applyBorder="1" applyFont="1"/>
    <xf borderId="6" fillId="5" fontId="0" numFmtId="164" xfId="0" applyAlignment="1" applyBorder="1" applyFill="1" applyFont="1" applyNumberFormat="1">
      <alignment horizontal="center"/>
    </xf>
    <xf borderId="6" fillId="0" fontId="3" numFmtId="0" xfId="0" applyAlignment="1" applyBorder="1" applyFont="1">
      <alignment horizontal="center"/>
    </xf>
    <xf borderId="6" fillId="6" fontId="4" numFmtId="164" xfId="0" applyAlignment="1" applyBorder="1" applyFill="1" applyFont="1" applyNumberFormat="1">
      <alignment horizontal="center"/>
    </xf>
    <xf borderId="6" fillId="2" fontId="2" numFmtId="164" xfId="0" applyBorder="1" applyFont="1" applyNumberFormat="1"/>
    <xf borderId="6" fillId="0" fontId="0" numFmtId="164" xfId="0" applyBorder="1" applyFont="1" applyNumberFormat="1"/>
    <xf borderId="6" fillId="3" fontId="0" numFmtId="164" xfId="0" applyBorder="1" applyFont="1" applyNumberFormat="1"/>
    <xf borderId="6" fillId="4" fontId="0" numFmtId="164" xfId="0" applyBorder="1" applyFont="1" applyNumberFormat="1"/>
    <xf borderId="6" fillId="6" fontId="4" numFmtId="164" xfId="0" applyBorder="1" applyFont="1" applyNumberFormat="1"/>
    <xf borderId="6" fillId="6" fontId="0" numFmtId="0" xfId="0" applyBorder="1" applyFont="1"/>
    <xf borderId="6" fillId="6" fontId="0" numFmtId="164" xfId="0" applyAlignment="1" applyBorder="1" applyFont="1" applyNumberFormat="1">
      <alignment horizontal="center"/>
    </xf>
    <xf borderId="6" fillId="3" fontId="0" numFmtId="0" xfId="0" applyBorder="1" applyFont="1"/>
    <xf borderId="6" fillId="4" fontId="0" numFmtId="0" xfId="0" applyBorder="1" applyFont="1"/>
    <xf borderId="6" fillId="5" fontId="5" numFmtId="0" xfId="0" applyBorder="1" applyFont="1"/>
    <xf borderId="6" fillId="5" fontId="5" numFmtId="164" xfId="0" applyBorder="1" applyFont="1" applyNumberFormat="1"/>
    <xf borderId="6" fillId="0" fontId="0" numFmtId="0" xfId="0" applyAlignment="1" applyBorder="1" applyFont="1">
      <alignment horizontal="center" readingOrder="0"/>
    </xf>
    <xf borderId="0" fillId="0" fontId="6" numFmtId="0" xfId="0" applyFont="1"/>
    <xf borderId="0" fillId="0" fontId="0" numFmtId="0" xfId="0" applyFont="1"/>
    <xf borderId="26" fillId="7" fontId="0" numFmtId="0" xfId="0" applyBorder="1" applyFill="1" applyFont="1"/>
    <xf borderId="26" fillId="7" fontId="5" numFmtId="0" xfId="0" applyBorder="1" applyFont="1"/>
    <xf borderId="26" fillId="4" fontId="0" numFmtId="164" xfId="0" applyBorder="1" applyFont="1" applyNumberFormat="1"/>
    <xf borderId="26" fillId="7" fontId="0" numFmtId="164" xfId="0" applyBorder="1" applyFont="1" applyNumberFormat="1"/>
    <xf borderId="26" fillId="4" fontId="0" numFmtId="0" xfId="0" applyBorder="1" applyFont="1"/>
    <xf borderId="26" fillId="8" fontId="0" numFmtId="0" xfId="0" applyBorder="1" applyFill="1" applyFont="1"/>
    <xf borderId="26" fillId="8" fontId="0" numFmtId="164" xfId="0" applyBorder="1" applyFont="1" applyNumberFormat="1"/>
    <xf borderId="26" fillId="7" fontId="7" numFmtId="0" xfId="0" applyBorder="1" applyFont="1"/>
    <xf borderId="26" fillId="7" fontId="8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57"/>
    <col customWidth="1" min="2" max="2" width="34.0"/>
    <col customWidth="1" min="3" max="3" width="15.29"/>
    <col customWidth="1" min="4" max="5" width="14.86"/>
    <col customWidth="1" min="6" max="6" width="15.14"/>
    <col customWidth="1" min="7" max="7" width="14.0"/>
    <col customWidth="1" min="8" max="8" width="14.71"/>
    <col customWidth="1" min="9" max="9" width="13.86"/>
    <col customWidth="1" min="10" max="10" width="15.14"/>
    <col customWidth="1" min="11" max="11" width="17.71"/>
    <col customWidth="1" min="12" max="12" width="14.71"/>
    <col customWidth="1" min="13" max="13" width="15.57"/>
    <col customWidth="1" min="14" max="14" width="15.29"/>
    <col customWidth="1" min="15" max="15" width="15.71"/>
    <col customWidth="1" min="16" max="16" width="15.43"/>
    <col customWidth="1" min="17" max="17" width="15.29"/>
    <col customWidth="1" min="18" max="18" width="15.14"/>
    <col customWidth="1" min="19" max="19" width="13.86"/>
    <col customWidth="1" min="20" max="20" width="13.0"/>
    <col customWidth="1" min="21" max="21" width="14.86"/>
    <col customWidth="1" min="22" max="22" width="14.0"/>
    <col customWidth="1" min="23" max="23" width="13.71"/>
    <col customWidth="1" min="24" max="24" width="13.14"/>
    <col customWidth="1" min="25" max="25" width="13.0"/>
    <col customWidth="1" min="26" max="26" width="13.71"/>
  </cols>
  <sheetData>
    <row r="2">
      <c r="A2" s="1" t="s">
        <v>0</v>
      </c>
      <c r="B2" s="1" t="s">
        <v>1</v>
      </c>
      <c r="C2" s="2" t="s">
        <v>2</v>
      </c>
      <c r="D2" s="3"/>
      <c r="E2" s="3"/>
      <c r="F2" s="4"/>
      <c r="G2" s="5" t="s">
        <v>3</v>
      </c>
      <c r="H2" s="3"/>
      <c r="I2" s="3"/>
      <c r="J2" s="4"/>
      <c r="K2" s="6" t="s">
        <v>4</v>
      </c>
      <c r="L2" s="3"/>
      <c r="M2" s="3"/>
      <c r="N2" s="4"/>
      <c r="O2" s="5" t="s">
        <v>5</v>
      </c>
      <c r="P2" s="3"/>
      <c r="Q2" s="3"/>
      <c r="R2" s="4"/>
      <c r="S2" s="7" t="s">
        <v>6</v>
      </c>
      <c r="T2" s="3"/>
      <c r="U2" s="3"/>
      <c r="V2" s="4"/>
      <c r="W2" s="5" t="s">
        <v>7</v>
      </c>
      <c r="X2" s="3"/>
      <c r="Y2" s="3"/>
      <c r="Z2" s="4"/>
    </row>
    <row r="3">
      <c r="A3" s="8"/>
      <c r="B3" s="8"/>
      <c r="C3" s="9">
        <v>2019.0</v>
      </c>
      <c r="D3" s="9">
        <v>2020.0</v>
      </c>
      <c r="E3" s="9">
        <v>2021.0</v>
      </c>
      <c r="F3" s="9" t="s">
        <v>8</v>
      </c>
      <c r="G3" s="10">
        <v>2019.0</v>
      </c>
      <c r="H3" s="10">
        <v>2020.0</v>
      </c>
      <c r="I3" s="10">
        <v>2021.0</v>
      </c>
      <c r="J3" s="10" t="s">
        <v>8</v>
      </c>
      <c r="K3" s="11">
        <v>2019.0</v>
      </c>
      <c r="L3" s="11">
        <v>2020.0</v>
      </c>
      <c r="M3" s="11">
        <v>2021.0</v>
      </c>
      <c r="N3" s="11" t="s">
        <v>8</v>
      </c>
      <c r="O3" s="10">
        <v>2019.0</v>
      </c>
      <c r="P3" s="10">
        <v>2020.0</v>
      </c>
      <c r="Q3" s="10">
        <v>2021.0</v>
      </c>
      <c r="R3" s="10" t="s">
        <v>8</v>
      </c>
      <c r="S3" s="12">
        <v>2019.0</v>
      </c>
      <c r="T3" s="12">
        <v>2020.0</v>
      </c>
      <c r="U3" s="12">
        <v>2021.0</v>
      </c>
      <c r="V3" s="12" t="s">
        <v>8</v>
      </c>
      <c r="W3" s="10">
        <v>2019.0</v>
      </c>
      <c r="X3" s="10">
        <v>2020.0</v>
      </c>
      <c r="Y3" s="10">
        <v>2021.0</v>
      </c>
      <c r="Z3" s="10" t="s">
        <v>8</v>
      </c>
    </row>
    <row r="4">
      <c r="A4" s="10">
        <v>1.0</v>
      </c>
      <c r="B4" s="13" t="s">
        <v>9</v>
      </c>
      <c r="C4" s="9"/>
      <c r="D4" s="9"/>
      <c r="E4" s="9"/>
      <c r="F4" s="9" t="s">
        <v>10</v>
      </c>
      <c r="G4" s="10"/>
      <c r="H4" s="10"/>
      <c r="I4" s="10"/>
      <c r="J4" s="10"/>
      <c r="K4" s="11"/>
      <c r="L4" s="11"/>
      <c r="M4" s="11"/>
      <c r="N4" s="11"/>
      <c r="O4" s="10"/>
      <c r="P4" s="10"/>
      <c r="Q4" s="10"/>
      <c r="R4" s="10"/>
      <c r="S4" s="12"/>
      <c r="T4" s="12"/>
      <c r="U4" s="12"/>
      <c r="V4" s="12"/>
      <c r="W4" s="10"/>
      <c r="X4" s="10"/>
      <c r="Y4" s="10"/>
      <c r="Z4" s="10"/>
    </row>
    <row r="5">
      <c r="A5" s="13"/>
      <c r="B5" s="13" t="s">
        <v>11</v>
      </c>
      <c r="C5" s="14">
        <f>10323967977+2558681903+(2*534013300)+(2*6365930400)</f>
        <v>26682537280</v>
      </c>
      <c r="D5" s="14">
        <f>10423967977+(2*2693349372)+(2*529818700)+(2*678990200)+8000000000</f>
        <v>26228284521</v>
      </c>
      <c r="E5" s="14">
        <f>3456782132+2715033989+524257000+6854168600</f>
        <v>13550241721</v>
      </c>
      <c r="F5" s="14">
        <f t="shared" ref="F5:F7" si="1">(C5+D5+E5)/3</f>
        <v>22153687841</v>
      </c>
      <c r="G5" s="15">
        <f>28*54914723</f>
        <v>1537612244</v>
      </c>
      <c r="H5" s="15">
        <f>28*55446638</f>
        <v>1552505864</v>
      </c>
      <c r="I5" s="15">
        <f>28*49179933</f>
        <v>1377038124</v>
      </c>
      <c r="J5" s="15">
        <f t="shared" ref="J5:J6" si="3">(G5+H5+I5)/3</f>
        <v>1489052077</v>
      </c>
      <c r="K5" s="16">
        <f>11*54914723</f>
        <v>604061953</v>
      </c>
      <c r="L5" s="16">
        <f>11*55446638</f>
        <v>609913018</v>
      </c>
      <c r="M5" s="16">
        <f>11*49179933</f>
        <v>540979263</v>
      </c>
      <c r="N5" s="11">
        <f t="shared" ref="N5:N6" si="5">(K5+L5+M5)/3</f>
        <v>584984744.7</v>
      </c>
      <c r="O5" s="15">
        <f>31*54914723</f>
        <v>1702356413</v>
      </c>
      <c r="P5" s="15">
        <f>31*55446638</f>
        <v>1718845778</v>
      </c>
      <c r="Q5" s="15">
        <f>14*49179933</f>
        <v>688519062</v>
      </c>
      <c r="R5" s="10">
        <f t="shared" ref="R5:R6" si="7">(O5+P5+Q5)/3</f>
        <v>1369907084</v>
      </c>
      <c r="S5" s="12"/>
      <c r="T5" s="12"/>
      <c r="U5" s="17">
        <f>5*49179933</f>
        <v>245899665</v>
      </c>
      <c r="V5" s="17">
        <f t="shared" ref="V5:V6" si="9">(S5+T5+U5)/3</f>
        <v>81966555</v>
      </c>
      <c r="W5" s="15"/>
      <c r="X5" s="15"/>
      <c r="Y5" s="15">
        <f>5*49179933</f>
        <v>245899665</v>
      </c>
      <c r="Z5" s="15">
        <f t="shared" ref="Z5:Z6" si="11">(W5+X5+Y5)/3</f>
        <v>81966555</v>
      </c>
    </row>
    <row r="6" ht="16.5" customHeight="1">
      <c r="A6" s="13"/>
      <c r="B6" s="18" t="s">
        <v>12</v>
      </c>
      <c r="C6" s="19">
        <f>1940530060+2129587191+589200000</f>
        <v>4659317251</v>
      </c>
      <c r="D6" s="19">
        <f>1997636905+262200000+1421360000+618000000</f>
        <v>4299196905</v>
      </c>
      <c r="E6" s="19">
        <f>1088477520+142136000+316800000</f>
        <v>1547413520</v>
      </c>
      <c r="F6" s="19">
        <f t="shared" si="1"/>
        <v>3501975892</v>
      </c>
      <c r="G6" s="20">
        <f t="shared" ref="G6:H6" si="2">C6/51</f>
        <v>91359161.78</v>
      </c>
      <c r="H6" s="20">
        <f t="shared" si="2"/>
        <v>84297978.53</v>
      </c>
      <c r="I6" s="20">
        <f>E6/30</f>
        <v>51580450.67</v>
      </c>
      <c r="J6" s="20">
        <f t="shared" si="3"/>
        <v>75745863.66</v>
      </c>
      <c r="K6" s="21">
        <f t="shared" ref="K6:L6" si="4">C6/51</f>
        <v>91359161.78</v>
      </c>
      <c r="L6" s="21">
        <f t="shared" si="4"/>
        <v>84297978.53</v>
      </c>
      <c r="M6" s="21">
        <f>E6/30</f>
        <v>51580450.67</v>
      </c>
      <c r="N6" s="21">
        <f t="shared" si="5"/>
        <v>75745863.66</v>
      </c>
      <c r="O6" s="20">
        <f t="shared" ref="O6:P6" si="6">C6/51</f>
        <v>91359161.78</v>
      </c>
      <c r="P6" s="20">
        <f t="shared" si="6"/>
        <v>84297978.53</v>
      </c>
      <c r="Q6" s="20">
        <f>E6/30</f>
        <v>51580450.67</v>
      </c>
      <c r="R6" s="20">
        <f t="shared" si="7"/>
        <v>75745863.66</v>
      </c>
      <c r="S6" s="22">
        <f t="shared" ref="S6:T6" si="8">C6/51</f>
        <v>91359161.78</v>
      </c>
      <c r="T6" s="22">
        <f t="shared" si="8"/>
        <v>84297978.53</v>
      </c>
      <c r="U6" s="22">
        <f>E6/30</f>
        <v>51580450.67</v>
      </c>
      <c r="V6" s="22">
        <f t="shared" si="9"/>
        <v>75745863.66</v>
      </c>
      <c r="W6" s="20">
        <f t="shared" ref="W6:X6" si="10">C6/51</f>
        <v>91359161.78</v>
      </c>
      <c r="X6" s="20">
        <f t="shared" si="10"/>
        <v>84297978.53</v>
      </c>
      <c r="Y6" s="20">
        <f>E6/30</f>
        <v>51580450.67</v>
      </c>
      <c r="Z6" s="20">
        <f t="shared" si="11"/>
        <v>75745863.66</v>
      </c>
    </row>
    <row r="7" ht="16.5" customHeight="1">
      <c r="A7" s="23"/>
      <c r="B7" s="24" t="s">
        <v>13</v>
      </c>
      <c r="C7" s="25">
        <f>1060000000+2124500000+111000000+636500000</f>
        <v>3932000000</v>
      </c>
      <c r="D7" s="25">
        <f>2965910048+743845000</f>
        <v>3709755048</v>
      </c>
      <c r="E7" s="19">
        <f>317200000+116742358+1329372964+90900000</f>
        <v>1854215322</v>
      </c>
      <c r="F7" s="26">
        <f t="shared" si="1"/>
        <v>3165323457</v>
      </c>
      <c r="G7" s="27">
        <f t="shared" ref="G7:H7" si="12">C7/37</f>
        <v>106270270.3</v>
      </c>
      <c r="H7" s="27">
        <f t="shared" si="12"/>
        <v>100263649.9</v>
      </c>
      <c r="I7" s="27">
        <f>E7/8</f>
        <v>231776915.3</v>
      </c>
      <c r="J7" s="20">
        <f>SUM(G7:I7)/3</f>
        <v>146103611.8</v>
      </c>
      <c r="K7" s="28">
        <f t="shared" ref="K7:L7" si="13">C7/37</f>
        <v>106270270.3</v>
      </c>
      <c r="L7" s="28">
        <f t="shared" si="13"/>
        <v>100263649.9</v>
      </c>
      <c r="M7" s="28">
        <f>E7/8</f>
        <v>231776915.3</v>
      </c>
      <c r="N7" s="29">
        <f>SUM(K7:M7)/3</f>
        <v>146103611.8</v>
      </c>
      <c r="O7" s="27">
        <f t="shared" ref="O7:P7" si="14">C7/37</f>
        <v>106270270.3</v>
      </c>
      <c r="P7" s="27">
        <f t="shared" si="14"/>
        <v>100263649.9</v>
      </c>
      <c r="Q7" s="27">
        <f>E7/8</f>
        <v>231776915.3</v>
      </c>
      <c r="R7" s="27">
        <f>SUM(O7:Q7)/3</f>
        <v>146103611.8</v>
      </c>
      <c r="S7" s="30">
        <f t="shared" ref="S7:T7" si="15">C7/37</f>
        <v>106270270.3</v>
      </c>
      <c r="T7" s="22">
        <f t="shared" si="15"/>
        <v>100263649.9</v>
      </c>
      <c r="U7" s="31">
        <f>E7/8</f>
        <v>231776915.3</v>
      </c>
      <c r="V7" s="31">
        <f>SUM(S7:U7)/3</f>
        <v>146103611.8</v>
      </c>
      <c r="W7" s="32">
        <f t="shared" ref="W7:X7" si="16">C7/37</f>
        <v>106270270.3</v>
      </c>
      <c r="X7" s="32">
        <f t="shared" si="16"/>
        <v>100263649.9</v>
      </c>
      <c r="Y7" s="32">
        <f>E7/8</f>
        <v>231776915.3</v>
      </c>
      <c r="Z7" s="32">
        <f>SUM(W7:Y7)/3</f>
        <v>146103611.8</v>
      </c>
    </row>
    <row r="8">
      <c r="A8" s="23"/>
      <c r="B8" s="33" t="s">
        <v>14</v>
      </c>
      <c r="C8" s="34" t="s">
        <v>10</v>
      </c>
      <c r="D8" s="34" t="s">
        <v>10</v>
      </c>
      <c r="E8" s="35" t="s">
        <v>10</v>
      </c>
      <c r="F8" s="36"/>
      <c r="G8" s="37"/>
      <c r="H8" s="37"/>
      <c r="I8" s="37"/>
      <c r="J8" s="38"/>
      <c r="K8" s="39"/>
      <c r="L8" s="39"/>
      <c r="M8" s="39"/>
      <c r="N8" s="40"/>
      <c r="O8" s="37"/>
      <c r="P8" s="37"/>
      <c r="Q8" s="37"/>
      <c r="R8" s="37"/>
      <c r="S8" s="41"/>
      <c r="T8" s="42"/>
      <c r="U8" s="43"/>
      <c r="V8" s="43"/>
      <c r="W8" s="44"/>
      <c r="X8" s="44"/>
      <c r="Y8" s="44"/>
      <c r="Z8" s="44"/>
    </row>
    <row r="9">
      <c r="A9" s="23"/>
      <c r="B9" s="45" t="s">
        <v>15</v>
      </c>
      <c r="C9" s="46">
        <f>6323087191+279500000</f>
        <v>6602587191</v>
      </c>
      <c r="D9" s="47">
        <f>3113231103+344000000</f>
        <v>3457231103</v>
      </c>
      <c r="E9" s="48">
        <f>302103650+460000000+2000000+456939660</f>
        <v>1221043310</v>
      </c>
      <c r="F9" s="49" t="s">
        <v>10</v>
      </c>
      <c r="G9" s="50">
        <f t="shared" ref="G9:H9" si="17">C9/37</f>
        <v>178448302.5</v>
      </c>
      <c r="H9" s="50">
        <f t="shared" si="17"/>
        <v>93438678.46</v>
      </c>
      <c r="I9" s="50">
        <f>E9/8</f>
        <v>152630413.8</v>
      </c>
      <c r="J9" s="50">
        <f>G9+H9+I9/3</f>
        <v>322763785.5</v>
      </c>
      <c r="K9" s="51">
        <f t="shared" ref="K9:L9" si="18">C9/37</f>
        <v>178448302.5</v>
      </c>
      <c r="L9" s="51">
        <f t="shared" si="18"/>
        <v>93438678.46</v>
      </c>
      <c r="M9" s="51">
        <f>E9/8</f>
        <v>152630413.8</v>
      </c>
      <c r="N9" s="51">
        <f>K9+L9+M9/3</f>
        <v>322763785.5</v>
      </c>
      <c r="O9" s="50">
        <f t="shared" ref="O9:P9" si="19">C9/37</f>
        <v>178448302.5</v>
      </c>
      <c r="P9" s="50">
        <f t="shared" si="19"/>
        <v>93438678.46</v>
      </c>
      <c r="Q9" s="50">
        <f>E9/8</f>
        <v>152630413.8</v>
      </c>
      <c r="R9" s="50">
        <f>O9+P9+Q9/3</f>
        <v>322763785.5</v>
      </c>
      <c r="S9" s="52">
        <f t="shared" ref="S9:T9" si="20">C9/37</f>
        <v>178448302.5</v>
      </c>
      <c r="T9" s="52">
        <f t="shared" si="20"/>
        <v>93438678.46</v>
      </c>
      <c r="U9" s="52">
        <f>E9/8</f>
        <v>152630413.8</v>
      </c>
      <c r="V9" s="52">
        <f>S9+T9+U9/3</f>
        <v>322763785.5</v>
      </c>
      <c r="W9" s="50">
        <f t="shared" ref="W9:X9" si="21">C9/37</f>
        <v>178448302.5</v>
      </c>
      <c r="X9" s="50">
        <f t="shared" si="21"/>
        <v>93438678.46</v>
      </c>
      <c r="Y9" s="50">
        <f>E9/8</f>
        <v>152630413.8</v>
      </c>
      <c r="Z9" s="50">
        <f>W9+X9+Y9/3</f>
        <v>322763785.5</v>
      </c>
    </row>
    <row r="10" ht="57.0" customHeight="1">
      <c r="A10" s="23"/>
      <c r="B10" s="53" t="s">
        <v>16</v>
      </c>
      <c r="C10" s="54"/>
      <c r="D10" s="8"/>
      <c r="E10" s="55"/>
      <c r="F10" s="56">
        <f>(C10+D10+E9)/3</f>
        <v>407014436.7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>
      <c r="A11" s="10">
        <v>2.0</v>
      </c>
      <c r="B11" s="57" t="s">
        <v>17</v>
      </c>
      <c r="C11" s="14">
        <f>150000000+20000000+10000000+100000000+15000000+150000000+60000000+160000000+100000000+10000000</f>
        <v>775000000</v>
      </c>
      <c r="D11" s="14">
        <f>25000000+10000000+101189179+124000001+132000000+44200005+35000000+29695019+55000000+30000000+507000000</f>
        <v>1093084204</v>
      </c>
      <c r="E11" s="14">
        <f>18000000+15000000+26000000+156400000+11400000+48000000</f>
        <v>274800000</v>
      </c>
      <c r="F11" s="35">
        <f>(C11+D11+E11)/3</f>
        <v>714294734.7</v>
      </c>
      <c r="G11" s="15">
        <f>297*150984</f>
        <v>44842248</v>
      </c>
      <c r="H11" s="15">
        <f>205931*341</f>
        <v>70222471</v>
      </c>
      <c r="I11" s="15">
        <f>310*349618</f>
        <v>108381580</v>
      </c>
      <c r="J11" s="15">
        <f>SUM(G11:I11)/3</f>
        <v>74482099.67</v>
      </c>
      <c r="K11" s="16">
        <f>132*150984</f>
        <v>19929888</v>
      </c>
      <c r="L11" s="16">
        <f>205931*143</f>
        <v>29448133</v>
      </c>
      <c r="M11" s="16">
        <f>116*349618</f>
        <v>40555688</v>
      </c>
      <c r="N11" s="16">
        <f>SUM(K11:M11)/3</f>
        <v>29977903</v>
      </c>
      <c r="O11" s="58">
        <f>168*150984</f>
        <v>25365312</v>
      </c>
      <c r="P11" s="58">
        <f>205931*175</f>
        <v>36037925</v>
      </c>
      <c r="Q11" s="58">
        <f>152*349618</f>
        <v>53141936</v>
      </c>
      <c r="R11" s="15">
        <f>(O11+P11+Q11)/3</f>
        <v>38181724.33</v>
      </c>
      <c r="S11" s="17">
        <f>183*150984</f>
        <v>27630072</v>
      </c>
      <c r="T11" s="17">
        <f>205931*202</f>
        <v>41598062</v>
      </c>
      <c r="U11" s="17">
        <f>102*349618</f>
        <v>35661036</v>
      </c>
      <c r="V11" s="17">
        <f>(S11+T11+U11)/3</f>
        <v>34963056.67</v>
      </c>
      <c r="W11" s="58">
        <f>267*150984</f>
        <v>40312728</v>
      </c>
      <c r="X11" s="58">
        <f>205931*291</f>
        <v>59925921</v>
      </c>
      <c r="Y11" s="58">
        <f>107*349618</f>
        <v>37409126</v>
      </c>
      <c r="Z11" s="15">
        <f>(W11+X11+Y11)/3</f>
        <v>45882591.67</v>
      </c>
    </row>
    <row r="12">
      <c r="A12" s="10"/>
      <c r="B12" s="59" t="s">
        <v>18</v>
      </c>
      <c r="C12" s="60">
        <f t="shared" ref="C12:Z12" si="22">SUM(C5:C11)</f>
        <v>42651441722</v>
      </c>
      <c r="D12" s="60">
        <f t="shared" si="22"/>
        <v>38787551781</v>
      </c>
      <c r="E12" s="60">
        <f t="shared" si="22"/>
        <v>18447713873</v>
      </c>
      <c r="F12" s="60">
        <f t="shared" si="22"/>
        <v>29942296361</v>
      </c>
      <c r="G12" s="60">
        <f t="shared" si="22"/>
        <v>1958532227</v>
      </c>
      <c r="H12" s="60">
        <f t="shared" si="22"/>
        <v>1900728642</v>
      </c>
      <c r="I12" s="60">
        <f t="shared" si="22"/>
        <v>1921407484</v>
      </c>
      <c r="J12" s="60">
        <f t="shared" si="22"/>
        <v>2108147438</v>
      </c>
      <c r="K12" s="60">
        <f t="shared" si="22"/>
        <v>1000069576</v>
      </c>
      <c r="L12" s="60">
        <f t="shared" si="22"/>
        <v>917361457.9</v>
      </c>
      <c r="M12" s="60">
        <f t="shared" si="22"/>
        <v>1017522731</v>
      </c>
      <c r="N12" s="60">
        <f t="shared" si="22"/>
        <v>1159575909</v>
      </c>
      <c r="O12" s="60">
        <f t="shared" si="22"/>
        <v>2103799460</v>
      </c>
      <c r="P12" s="60">
        <f t="shared" si="22"/>
        <v>2032884010</v>
      </c>
      <c r="Q12" s="60">
        <f t="shared" si="22"/>
        <v>1177648778</v>
      </c>
      <c r="R12" s="60">
        <f t="shared" si="22"/>
        <v>1952702070</v>
      </c>
      <c r="S12" s="60">
        <f t="shared" si="22"/>
        <v>403707806.5</v>
      </c>
      <c r="T12" s="60">
        <f t="shared" si="22"/>
        <v>319598368.9</v>
      </c>
      <c r="U12" s="60">
        <f t="shared" si="22"/>
        <v>717548480.7</v>
      </c>
      <c r="V12" s="60">
        <f t="shared" si="22"/>
        <v>661542872.7</v>
      </c>
      <c r="W12" s="60">
        <f t="shared" si="22"/>
        <v>416390462.5</v>
      </c>
      <c r="X12" s="60">
        <f t="shared" si="22"/>
        <v>337926227.9</v>
      </c>
      <c r="Y12" s="60">
        <f t="shared" si="22"/>
        <v>719296570.7</v>
      </c>
      <c r="Z12" s="60">
        <f t="shared" si="22"/>
        <v>672462407.7</v>
      </c>
    </row>
    <row r="13">
      <c r="A13" s="10">
        <v>1.0</v>
      </c>
      <c r="B13" s="13" t="s">
        <v>19</v>
      </c>
      <c r="C13" s="61">
        <v>1.5416E9</v>
      </c>
      <c r="D13" s="61">
        <v>1.692E9</v>
      </c>
      <c r="E13" s="61">
        <f>498000000+145000000+87000000+40000000</f>
        <v>770000000</v>
      </c>
      <c r="F13" s="14">
        <f t="shared" ref="F13:F14" si="23">(C13+D13+E13)/3</f>
        <v>1334533333</v>
      </c>
      <c r="G13" s="62">
        <f>28*8200000</f>
        <v>229600000</v>
      </c>
      <c r="H13" s="62">
        <f>28*9000000</f>
        <v>252000000</v>
      </c>
      <c r="I13" s="62">
        <f>28*5354839</f>
        <v>149935492</v>
      </c>
      <c r="J13" s="15">
        <f t="shared" ref="J13:J14" si="24">SUM(G13:I13)/3</f>
        <v>210511830.7</v>
      </c>
      <c r="K13" s="63">
        <f>11*8200000</f>
        <v>90200000</v>
      </c>
      <c r="L13" s="63">
        <f>11*9000000</f>
        <v>99000000</v>
      </c>
      <c r="M13" s="63">
        <f>11*5354839</f>
        <v>58903229</v>
      </c>
      <c r="N13" s="16">
        <f t="shared" ref="N13:N18" si="25">(K13+L13+M13)/3</f>
        <v>82701076.33</v>
      </c>
      <c r="O13" s="62">
        <f>31*8200000</f>
        <v>254200000</v>
      </c>
      <c r="P13" s="62">
        <f>31*9000000</f>
        <v>279000000</v>
      </c>
      <c r="Q13" s="62">
        <f>14*5354839</f>
        <v>74967746</v>
      </c>
      <c r="R13" s="15">
        <f t="shared" ref="R13:R18" si="26">(O13+P13+Q13)/3</f>
        <v>202722582</v>
      </c>
      <c r="S13" s="62">
        <f>6*8200000</f>
        <v>49200000</v>
      </c>
      <c r="T13" s="62">
        <f>6*9000000</f>
        <v>54000000</v>
      </c>
      <c r="U13" s="64">
        <f>5*5354839</f>
        <v>26774195</v>
      </c>
      <c r="V13" s="17">
        <f t="shared" ref="V13:V18" si="27">(S13+T13+U13)/3</f>
        <v>43324731.67</v>
      </c>
      <c r="W13" s="62">
        <f>5*8200000</f>
        <v>41000000</v>
      </c>
      <c r="X13" s="62">
        <f>5*9000000</f>
        <v>45000000</v>
      </c>
      <c r="Y13" s="62">
        <f>5*5354839</f>
        <v>26774195</v>
      </c>
      <c r="Z13" s="15">
        <f t="shared" ref="Z13:Z18" si="28">(W13+X13+Y13)/3</f>
        <v>37591398.33</v>
      </c>
    </row>
    <row r="14">
      <c r="A14" s="10">
        <v>2.0</v>
      </c>
      <c r="B14" s="13" t="s">
        <v>20</v>
      </c>
      <c r="C14" s="61">
        <f>432000000+145000000</f>
        <v>577000000</v>
      </c>
      <c r="D14" s="61">
        <f>507600000+157000000+45000000</f>
        <v>709600000</v>
      </c>
      <c r="E14" s="61">
        <f>310000000+87000000+45000000</f>
        <v>442000000</v>
      </c>
      <c r="F14" s="14">
        <f t="shared" si="23"/>
        <v>576200000</v>
      </c>
      <c r="G14" s="62">
        <f>28*2297000</f>
        <v>64316000</v>
      </c>
      <c r="H14" s="62">
        <f>28*2700000</f>
        <v>75600000</v>
      </c>
      <c r="I14" s="62">
        <f>28*3333333</f>
        <v>93333324</v>
      </c>
      <c r="J14" s="15">
        <f t="shared" si="24"/>
        <v>77749774.67</v>
      </c>
      <c r="K14" s="63">
        <f>11*2297000</f>
        <v>25267000</v>
      </c>
      <c r="L14" s="63">
        <f>11*2700000</f>
        <v>29700000</v>
      </c>
      <c r="M14" s="63">
        <f>11*3333333</f>
        <v>36666663</v>
      </c>
      <c r="N14" s="16">
        <f t="shared" si="25"/>
        <v>30544554.33</v>
      </c>
      <c r="O14" s="62">
        <f>31*2297000</f>
        <v>71207000</v>
      </c>
      <c r="P14" s="62">
        <f>31*2700000</f>
        <v>83700000</v>
      </c>
      <c r="Q14" s="62">
        <f>14*3333333</f>
        <v>46666662</v>
      </c>
      <c r="R14" s="15">
        <f t="shared" si="26"/>
        <v>67191220.67</v>
      </c>
      <c r="S14" s="62">
        <f>6*2297000</f>
        <v>13782000</v>
      </c>
      <c r="T14" s="62">
        <f>6*2700000</f>
        <v>16200000</v>
      </c>
      <c r="U14" s="64">
        <f>5*3333333</f>
        <v>16666665</v>
      </c>
      <c r="V14" s="17">
        <f t="shared" si="27"/>
        <v>15549555</v>
      </c>
      <c r="W14" s="62">
        <f>5*2297000</f>
        <v>11485000</v>
      </c>
      <c r="X14" s="62">
        <f>5*2700000</f>
        <v>13500000</v>
      </c>
      <c r="Y14" s="62">
        <f>5*3333333</f>
        <v>16666665</v>
      </c>
      <c r="Z14" s="15">
        <f t="shared" si="28"/>
        <v>13883888.33</v>
      </c>
    </row>
    <row r="15">
      <c r="A15" s="10"/>
      <c r="B15" s="59" t="s">
        <v>18</v>
      </c>
      <c r="C15" s="65">
        <f t="shared" ref="C15:F15" si="29">SUM(C13:C14)</f>
        <v>2118600000</v>
      </c>
      <c r="D15" s="65">
        <f t="shared" si="29"/>
        <v>2401600000</v>
      </c>
      <c r="E15" s="65">
        <f t="shared" si="29"/>
        <v>1212000000</v>
      </c>
      <c r="F15" s="60">
        <f t="shared" si="29"/>
        <v>1910733333</v>
      </c>
      <c r="G15" s="66"/>
      <c r="H15" s="66"/>
      <c r="I15" s="66"/>
      <c r="J15" s="67">
        <f t="shared" ref="J15:J18" si="31">(G15+H15+I15)/3</f>
        <v>0</v>
      </c>
      <c r="K15" s="66"/>
      <c r="L15" s="66"/>
      <c r="M15" s="66"/>
      <c r="N15" s="67">
        <f t="shared" si="25"/>
        <v>0</v>
      </c>
      <c r="O15" s="66"/>
      <c r="P15" s="66"/>
      <c r="Q15" s="66"/>
      <c r="R15" s="67">
        <f t="shared" si="26"/>
        <v>0</v>
      </c>
      <c r="S15" s="66"/>
      <c r="T15" s="66"/>
      <c r="U15" s="66"/>
      <c r="V15" s="67">
        <f t="shared" si="27"/>
        <v>0</v>
      </c>
      <c r="W15" s="66"/>
      <c r="X15" s="66"/>
      <c r="Y15" s="66"/>
      <c r="Z15" s="67">
        <f t="shared" si="28"/>
        <v>0</v>
      </c>
    </row>
    <row r="16">
      <c r="A16" s="10">
        <v>1.0</v>
      </c>
      <c r="B16" s="13" t="s">
        <v>21</v>
      </c>
      <c r="C16" s="61">
        <f>160000000+250000000</f>
        <v>410000000</v>
      </c>
      <c r="D16" s="61">
        <f>450050009+75000000+262200000</f>
        <v>787250009</v>
      </c>
      <c r="E16" s="61">
        <f>11399951+76000000+50625174+8310000+92400000</f>
        <v>238735125</v>
      </c>
      <c r="F16" s="14">
        <f t="shared" ref="F16:F17" si="36">(C16+D16+E16)/3</f>
        <v>478661711.3</v>
      </c>
      <c r="G16" s="15">
        <f t="shared" ref="G16:I16" si="30">C16/37</f>
        <v>11081081.08</v>
      </c>
      <c r="H16" s="15">
        <f t="shared" si="30"/>
        <v>21277027.27</v>
      </c>
      <c r="I16" s="15">
        <f t="shared" si="30"/>
        <v>6452300.676</v>
      </c>
      <c r="J16" s="15">
        <f t="shared" si="31"/>
        <v>12936803.01</v>
      </c>
      <c r="K16" s="16">
        <f t="shared" ref="K16:M16" si="32">C16/37</f>
        <v>11081081.08</v>
      </c>
      <c r="L16" s="16">
        <f t="shared" si="32"/>
        <v>21277027.27</v>
      </c>
      <c r="M16" s="16">
        <f t="shared" si="32"/>
        <v>6452300.676</v>
      </c>
      <c r="N16" s="16">
        <f t="shared" si="25"/>
        <v>12936803.01</v>
      </c>
      <c r="O16" s="15">
        <f t="shared" ref="O16:Q16" si="33">C16/37</f>
        <v>11081081.08</v>
      </c>
      <c r="P16" s="15">
        <f t="shared" si="33"/>
        <v>21277027.27</v>
      </c>
      <c r="Q16" s="15">
        <f t="shared" si="33"/>
        <v>6452300.676</v>
      </c>
      <c r="R16" s="15">
        <f t="shared" si="26"/>
        <v>12936803.01</v>
      </c>
      <c r="S16" s="17">
        <f t="shared" ref="S16:U16" si="34">C16/37</f>
        <v>11081081.08</v>
      </c>
      <c r="T16" s="17">
        <f t="shared" si="34"/>
        <v>21277027.27</v>
      </c>
      <c r="U16" s="17">
        <f t="shared" si="34"/>
        <v>6452300.676</v>
      </c>
      <c r="V16" s="17">
        <f t="shared" si="27"/>
        <v>12936803.01</v>
      </c>
      <c r="W16" s="15">
        <f t="shared" ref="W16:Y16" si="35">C16/37</f>
        <v>11081081.08</v>
      </c>
      <c r="X16" s="15">
        <f t="shared" si="35"/>
        <v>21277027.27</v>
      </c>
      <c r="Y16" s="15">
        <f t="shared" si="35"/>
        <v>6452300.676</v>
      </c>
      <c r="Z16" s="15">
        <f t="shared" si="28"/>
        <v>12936803.01</v>
      </c>
    </row>
    <row r="17">
      <c r="A17" s="10">
        <v>2.0</v>
      </c>
      <c r="B17" s="13" t="s">
        <v>22</v>
      </c>
      <c r="C17" s="61">
        <f>840000000+150000000</f>
        <v>990000000</v>
      </c>
      <c r="D17" s="61">
        <f>548000000+30000000+543000000</f>
        <v>1121000000</v>
      </c>
      <c r="E17" s="61">
        <f>16000000+156400000</f>
        <v>172400000</v>
      </c>
      <c r="F17" s="14">
        <f t="shared" si="36"/>
        <v>761133333.3</v>
      </c>
      <c r="G17" s="15">
        <f t="shared" ref="G17:I17" si="37">C17/37</f>
        <v>26756756.76</v>
      </c>
      <c r="H17" s="15">
        <f t="shared" si="37"/>
        <v>30297297.3</v>
      </c>
      <c r="I17" s="15">
        <f t="shared" si="37"/>
        <v>4659459.459</v>
      </c>
      <c r="J17" s="15">
        <f t="shared" si="31"/>
        <v>20571171.17</v>
      </c>
      <c r="K17" s="16">
        <f t="shared" ref="K17:M17" si="38">C17/37</f>
        <v>26756756.76</v>
      </c>
      <c r="L17" s="16">
        <f t="shared" si="38"/>
        <v>30297297.3</v>
      </c>
      <c r="M17" s="16">
        <f t="shared" si="38"/>
        <v>4659459.459</v>
      </c>
      <c r="N17" s="16">
        <f t="shared" si="25"/>
        <v>20571171.17</v>
      </c>
      <c r="O17" s="15">
        <f t="shared" ref="O17:Q17" si="39">C17/37</f>
        <v>26756756.76</v>
      </c>
      <c r="P17" s="15">
        <f t="shared" si="39"/>
        <v>30297297.3</v>
      </c>
      <c r="Q17" s="15">
        <f t="shared" si="39"/>
        <v>4659459.459</v>
      </c>
      <c r="R17" s="15">
        <f t="shared" si="26"/>
        <v>20571171.17</v>
      </c>
      <c r="S17" s="17">
        <f t="shared" ref="S17:U17" si="40">C17/37</f>
        <v>26756756.76</v>
      </c>
      <c r="T17" s="17">
        <f t="shared" si="40"/>
        <v>30297297.3</v>
      </c>
      <c r="U17" s="17">
        <f t="shared" si="40"/>
        <v>4659459.459</v>
      </c>
      <c r="V17" s="17">
        <f t="shared" si="27"/>
        <v>20571171.17</v>
      </c>
      <c r="W17" s="15">
        <f t="shared" ref="W17:Y17" si="41">C17/37</f>
        <v>26756756.76</v>
      </c>
      <c r="X17" s="15">
        <f t="shared" si="41"/>
        <v>30297297.3</v>
      </c>
      <c r="Y17" s="15">
        <f t="shared" si="41"/>
        <v>4659459.459</v>
      </c>
      <c r="Z17" s="15">
        <f t="shared" si="28"/>
        <v>20571171.17</v>
      </c>
    </row>
    <row r="18">
      <c r="A18" s="10">
        <v>3.0</v>
      </c>
      <c r="B18" s="13" t="s">
        <v>23</v>
      </c>
      <c r="C18" s="61"/>
      <c r="D18" s="61">
        <v>0.0</v>
      </c>
      <c r="E18" s="61">
        <v>0.0</v>
      </c>
      <c r="F18" s="14">
        <v>0.0</v>
      </c>
      <c r="G18" s="15">
        <f t="shared" ref="G18:I18" si="42">C18/37</f>
        <v>0</v>
      </c>
      <c r="H18" s="15">
        <f t="shared" si="42"/>
        <v>0</v>
      </c>
      <c r="I18" s="15">
        <f t="shared" si="42"/>
        <v>0</v>
      </c>
      <c r="J18" s="15">
        <f t="shared" si="31"/>
        <v>0</v>
      </c>
      <c r="K18" s="16">
        <f t="shared" ref="K18:M18" si="43">G18/37</f>
        <v>0</v>
      </c>
      <c r="L18" s="16">
        <f t="shared" si="43"/>
        <v>0</v>
      </c>
      <c r="M18" s="16">
        <f t="shared" si="43"/>
        <v>0</v>
      </c>
      <c r="N18" s="16">
        <f t="shared" si="25"/>
        <v>0</v>
      </c>
      <c r="O18" s="15">
        <f t="shared" ref="O18:Q18" si="44">K18/37</f>
        <v>0</v>
      </c>
      <c r="P18" s="15">
        <f t="shared" si="44"/>
        <v>0</v>
      </c>
      <c r="Q18" s="15">
        <f t="shared" si="44"/>
        <v>0</v>
      </c>
      <c r="R18" s="15">
        <f t="shared" si="26"/>
        <v>0</v>
      </c>
      <c r="S18" s="17">
        <f t="shared" ref="S18:U18" si="45">O18/37</f>
        <v>0</v>
      </c>
      <c r="T18" s="17">
        <f t="shared" si="45"/>
        <v>0</v>
      </c>
      <c r="U18" s="17">
        <f t="shared" si="45"/>
        <v>0</v>
      </c>
      <c r="V18" s="17">
        <f t="shared" si="27"/>
        <v>0</v>
      </c>
      <c r="W18" s="15">
        <f t="shared" ref="W18:Y18" si="46">S18/37</f>
        <v>0</v>
      </c>
      <c r="X18" s="15">
        <f t="shared" si="46"/>
        <v>0</v>
      </c>
      <c r="Y18" s="15">
        <f t="shared" si="46"/>
        <v>0</v>
      </c>
      <c r="Z18" s="15">
        <f t="shared" si="28"/>
        <v>0</v>
      </c>
    </row>
    <row r="19">
      <c r="A19" s="13"/>
      <c r="B19" s="59" t="s">
        <v>18</v>
      </c>
      <c r="C19" s="65">
        <f t="shared" ref="C19:Z19" si="47">SUM(C16:C18)</f>
        <v>1400000000</v>
      </c>
      <c r="D19" s="65">
        <f t="shared" si="47"/>
        <v>1908250009</v>
      </c>
      <c r="E19" s="60">
        <f t="shared" si="47"/>
        <v>411135125</v>
      </c>
      <c r="F19" s="60">
        <f t="shared" si="47"/>
        <v>1239795045</v>
      </c>
      <c r="G19" s="60">
        <f t="shared" si="47"/>
        <v>37837837.84</v>
      </c>
      <c r="H19" s="60">
        <f t="shared" si="47"/>
        <v>51574324.57</v>
      </c>
      <c r="I19" s="60">
        <f t="shared" si="47"/>
        <v>11111760.14</v>
      </c>
      <c r="J19" s="60">
        <f t="shared" si="47"/>
        <v>33507974.18</v>
      </c>
      <c r="K19" s="60">
        <f t="shared" si="47"/>
        <v>37837837.84</v>
      </c>
      <c r="L19" s="60">
        <f t="shared" si="47"/>
        <v>51574324.57</v>
      </c>
      <c r="M19" s="60">
        <f t="shared" si="47"/>
        <v>11111760.14</v>
      </c>
      <c r="N19" s="60">
        <f t="shared" si="47"/>
        <v>33507974.18</v>
      </c>
      <c r="O19" s="60">
        <f t="shared" si="47"/>
        <v>37837837.84</v>
      </c>
      <c r="P19" s="60">
        <f t="shared" si="47"/>
        <v>51574324.57</v>
      </c>
      <c r="Q19" s="60">
        <f t="shared" si="47"/>
        <v>11111760.14</v>
      </c>
      <c r="R19" s="60">
        <f t="shared" si="47"/>
        <v>33507974.18</v>
      </c>
      <c r="S19" s="60">
        <f t="shared" si="47"/>
        <v>37837837.84</v>
      </c>
      <c r="T19" s="60">
        <f t="shared" si="47"/>
        <v>51574324.57</v>
      </c>
      <c r="U19" s="60">
        <f t="shared" si="47"/>
        <v>11111760.14</v>
      </c>
      <c r="V19" s="60">
        <f t="shared" si="47"/>
        <v>33507974.18</v>
      </c>
      <c r="W19" s="60">
        <f t="shared" si="47"/>
        <v>37837837.84</v>
      </c>
      <c r="X19" s="60">
        <f t="shared" si="47"/>
        <v>51574324.57</v>
      </c>
      <c r="Y19" s="60">
        <f t="shared" si="47"/>
        <v>11111760.14</v>
      </c>
      <c r="Z19" s="60">
        <f t="shared" si="47"/>
        <v>33507974.18</v>
      </c>
    </row>
    <row r="20">
      <c r="A20" s="13"/>
      <c r="B20" s="13" t="s">
        <v>24</v>
      </c>
      <c r="C20" s="62">
        <f t="shared" ref="C20:F20" si="48">C12+C15+C19</f>
        <v>46170041722</v>
      </c>
      <c r="D20" s="62">
        <f t="shared" si="48"/>
        <v>43097401790</v>
      </c>
      <c r="E20" s="62">
        <f t="shared" si="48"/>
        <v>20070848998</v>
      </c>
      <c r="F20" s="62">
        <f t="shared" si="48"/>
        <v>33092824739</v>
      </c>
      <c r="G20" s="13"/>
      <c r="H20" s="13"/>
      <c r="I20" s="13"/>
      <c r="J20" s="62"/>
      <c r="K20" s="68"/>
      <c r="L20" s="68"/>
      <c r="M20" s="68"/>
      <c r="N20" s="68"/>
      <c r="O20" s="13"/>
      <c r="P20" s="13"/>
      <c r="Q20" s="13"/>
      <c r="R20" s="13"/>
      <c r="S20" s="69"/>
      <c r="T20" s="69"/>
      <c r="U20" s="69"/>
      <c r="V20" s="69"/>
      <c r="W20" s="13"/>
      <c r="X20" s="13"/>
      <c r="Y20" s="13"/>
      <c r="Z20" s="13"/>
    </row>
    <row r="21" ht="15.75" customHeight="1">
      <c r="A21" s="13"/>
      <c r="B21" s="70" t="s">
        <v>25</v>
      </c>
      <c r="C21" s="71">
        <f t="shared" ref="C21:D21" si="49">C20/37</f>
        <v>1247838965</v>
      </c>
      <c r="D21" s="71">
        <f t="shared" si="49"/>
        <v>1164794643</v>
      </c>
      <c r="E21" s="71">
        <f>E20/8</f>
        <v>2508856125</v>
      </c>
      <c r="F21" s="13"/>
      <c r="G21" s="13"/>
      <c r="H21" s="13"/>
      <c r="I21" s="13"/>
      <c r="J21" s="62"/>
      <c r="K21" s="68"/>
      <c r="L21" s="68"/>
      <c r="M21" s="68"/>
      <c r="N21" s="68"/>
      <c r="O21" s="13"/>
      <c r="P21" s="13"/>
      <c r="Q21" s="13"/>
      <c r="R21" s="13"/>
      <c r="S21" s="69"/>
      <c r="T21" s="69"/>
      <c r="U21" s="69"/>
      <c r="V21" s="69"/>
      <c r="W21" s="13"/>
      <c r="X21" s="13"/>
      <c r="Y21" s="13"/>
      <c r="Z21" s="13"/>
    </row>
    <row r="22" ht="15.75" customHeight="1">
      <c r="A22" s="13"/>
      <c r="B22" s="13" t="s">
        <v>26</v>
      </c>
      <c r="C22" s="10" t="s">
        <v>27</v>
      </c>
      <c r="D22" s="10" t="s">
        <v>27</v>
      </c>
      <c r="E22" s="72" t="s">
        <v>28</v>
      </c>
      <c r="F22" s="13" t="s">
        <v>29</v>
      </c>
      <c r="G22" s="13"/>
      <c r="H22" s="13"/>
      <c r="I22" s="13"/>
      <c r="J22" s="62"/>
      <c r="K22" s="68"/>
      <c r="L22" s="68"/>
      <c r="M22" s="68"/>
      <c r="N22" s="68"/>
      <c r="O22" s="13"/>
      <c r="P22" s="13"/>
      <c r="Q22" s="13"/>
      <c r="R22" s="13"/>
      <c r="S22" s="69"/>
      <c r="T22" s="69"/>
      <c r="U22" s="69"/>
      <c r="V22" s="69"/>
      <c r="W22" s="13"/>
      <c r="X22" s="13"/>
      <c r="Y22" s="13"/>
      <c r="Z22" s="13"/>
    </row>
    <row r="23" ht="15.75" customHeight="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68"/>
      <c r="L23" s="68"/>
      <c r="M23" s="68"/>
      <c r="N23" s="68"/>
      <c r="O23" s="13"/>
      <c r="P23" s="13"/>
      <c r="Q23" s="13"/>
      <c r="R23" s="13"/>
      <c r="S23" s="69"/>
      <c r="T23" s="69"/>
      <c r="U23" s="69"/>
      <c r="V23" s="69"/>
      <c r="W23" s="13"/>
      <c r="X23" s="13"/>
      <c r="Y23" s="13"/>
      <c r="Z23" s="13"/>
    </row>
    <row r="24" ht="15.75" customHeight="1"/>
    <row r="25" ht="15.75" customHeight="1">
      <c r="B25" s="73" t="s">
        <v>10</v>
      </c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</row>
    <row r="26" ht="15.75" customHeight="1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 t="s">
        <v>10</v>
      </c>
      <c r="V26" s="75"/>
      <c r="W26" s="75"/>
      <c r="X26" s="75" t="s">
        <v>10</v>
      </c>
      <c r="Y26" s="75"/>
      <c r="Z26" s="76"/>
    </row>
    <row r="27" ht="15.75" customHeight="1">
      <c r="A27" s="75"/>
      <c r="B27" s="75" t="s">
        <v>30</v>
      </c>
      <c r="C27" s="75">
        <v>2242.0</v>
      </c>
      <c r="D27" s="75">
        <v>2152.0</v>
      </c>
      <c r="E27" s="77">
        <v>787.0</v>
      </c>
      <c r="F27" s="75" t="s">
        <v>10</v>
      </c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6"/>
    </row>
    <row r="28" ht="15.75" customHeight="1">
      <c r="A28" s="75"/>
      <c r="B28" s="75" t="s">
        <v>31</v>
      </c>
      <c r="C28" s="78">
        <f t="shared" ref="C28:E28" si="50">C12/C27</f>
        <v>19023836.63</v>
      </c>
      <c r="D28" s="78">
        <f t="shared" si="50"/>
        <v>18023955.29</v>
      </c>
      <c r="E28" s="78">
        <f t="shared" si="50"/>
        <v>23440551.3</v>
      </c>
      <c r="F28" s="78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6"/>
    </row>
    <row r="29" ht="18.75" customHeight="1">
      <c r="A29" s="75"/>
      <c r="B29" s="75" t="s">
        <v>32</v>
      </c>
      <c r="C29" s="75">
        <v>156.0</v>
      </c>
      <c r="D29" s="75"/>
      <c r="E29" s="79">
        <v>106.0</v>
      </c>
      <c r="F29" s="75"/>
      <c r="G29" s="75">
        <v>51.0</v>
      </c>
      <c r="H29" s="75"/>
      <c r="I29" s="75"/>
      <c r="J29" s="75"/>
      <c r="K29" s="75">
        <v>18.0</v>
      </c>
      <c r="L29" s="75"/>
      <c r="M29" s="75"/>
      <c r="N29" s="75"/>
      <c r="O29" s="75">
        <v>15.0</v>
      </c>
      <c r="P29" s="75"/>
      <c r="Q29" s="75" t="s">
        <v>10</v>
      </c>
      <c r="R29" s="75"/>
      <c r="S29" s="75">
        <v>13.0</v>
      </c>
      <c r="T29" s="75"/>
      <c r="U29" s="75"/>
      <c r="V29" s="75"/>
      <c r="W29" s="75">
        <v>10.0</v>
      </c>
      <c r="X29" s="75"/>
      <c r="Y29" s="75"/>
      <c r="Z29" s="76"/>
    </row>
    <row r="30" ht="15.75" customHeight="1">
      <c r="A30" s="75"/>
      <c r="B30" s="75" t="s">
        <v>33</v>
      </c>
      <c r="C30" s="75">
        <v>51.0</v>
      </c>
      <c r="D30" s="75">
        <v>51.0</v>
      </c>
      <c r="E30" s="75">
        <v>30.0</v>
      </c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6"/>
    </row>
    <row r="31" ht="15.75" customHeight="1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6"/>
    </row>
    <row r="32" ht="15.75" customHeight="1">
      <c r="A32" s="75"/>
      <c r="B32" s="80" t="s">
        <v>34</v>
      </c>
      <c r="C32" s="81">
        <f t="shared" ref="C32:D32" si="51">C13/156</f>
        <v>9882051.282</v>
      </c>
      <c r="D32" s="81">
        <f t="shared" si="51"/>
        <v>10846153.85</v>
      </c>
      <c r="E32" s="81">
        <f>E13/106</f>
        <v>7264150.943</v>
      </c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6"/>
    </row>
    <row r="33" ht="15.75" customHeight="1">
      <c r="A33" s="75"/>
      <c r="B33" s="80" t="s">
        <v>35</v>
      </c>
      <c r="C33" s="81">
        <f t="shared" ref="C33:E33" si="52">C14/106</f>
        <v>5443396.226</v>
      </c>
      <c r="D33" s="81">
        <f t="shared" si="52"/>
        <v>6694339.623</v>
      </c>
      <c r="E33" s="81">
        <f t="shared" si="52"/>
        <v>4169811.321</v>
      </c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6"/>
    </row>
    <row r="34" ht="15.75" customHeight="1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6"/>
    </row>
    <row r="35" ht="15.75" customHeight="1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</row>
    <row r="36" ht="15.75" customHeight="1">
      <c r="A36" s="75"/>
      <c r="B36" s="75"/>
      <c r="C36" s="78"/>
      <c r="D36" s="78"/>
      <c r="E36" s="78"/>
      <c r="F36" s="75"/>
      <c r="G36" s="75"/>
      <c r="H36" s="75"/>
      <c r="I36" s="75"/>
      <c r="J36" s="75"/>
      <c r="K36" s="75"/>
      <c r="L36" s="75"/>
      <c r="M36" s="75"/>
      <c r="N36" s="75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</row>
    <row r="37" ht="15.75" customHeight="1">
      <c r="A37" s="82"/>
      <c r="B37" s="83" t="s">
        <v>36</v>
      </c>
      <c r="C37" s="83"/>
      <c r="D37" s="83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</row>
    <row r="38" ht="15.75" customHeight="1">
      <c r="A38" s="82"/>
      <c r="B38" s="83" t="s">
        <v>37</v>
      </c>
      <c r="C38" s="83"/>
      <c r="D38" s="83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</row>
    <row r="39" ht="15.75" customHeight="1">
      <c r="A39" s="75"/>
      <c r="B39" s="75" t="s">
        <v>10</v>
      </c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</row>
    <row r="40" ht="15.75" customHeight="1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</row>
    <row r="41" ht="15.75" customHeight="1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</row>
    <row r="42" ht="15.75" customHeight="1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</row>
    <row r="43" ht="15.75" customHeight="1">
      <c r="A43" s="74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</row>
    <row r="44" ht="15.75" customHeight="1">
      <c r="D44" s="74" t="s">
        <v>38</v>
      </c>
      <c r="E44" s="74">
        <v>168.0</v>
      </c>
      <c r="F44" s="74">
        <v>175.0</v>
      </c>
      <c r="G44" s="74">
        <v>152.0</v>
      </c>
    </row>
    <row r="45" ht="15.75" customHeight="1">
      <c r="D45" s="74" t="s">
        <v>39</v>
      </c>
      <c r="E45" s="74">
        <v>132.0</v>
      </c>
      <c r="F45" s="74">
        <v>143.0</v>
      </c>
      <c r="G45" s="74">
        <v>116.0</v>
      </c>
    </row>
    <row r="46" ht="15.75" customHeight="1">
      <c r="D46" s="74" t="s">
        <v>40</v>
      </c>
      <c r="E46" s="74">
        <v>297.0</v>
      </c>
      <c r="F46" s="74">
        <v>341.0</v>
      </c>
      <c r="G46" s="74">
        <v>310.0</v>
      </c>
    </row>
    <row r="47" ht="15.75" customHeight="1">
      <c r="D47" s="74" t="s">
        <v>38</v>
      </c>
      <c r="E47" s="74">
        <v>183.0</v>
      </c>
      <c r="F47" s="74">
        <v>202.0</v>
      </c>
      <c r="G47" s="74">
        <v>102.0</v>
      </c>
    </row>
    <row r="48" ht="15.75" customHeight="1">
      <c r="D48" s="74" t="s">
        <v>39</v>
      </c>
      <c r="E48" s="74">
        <v>267.0</v>
      </c>
      <c r="F48" s="74">
        <v>291.0</v>
      </c>
      <c r="G48" s="74">
        <v>107.0</v>
      </c>
    </row>
    <row r="49" ht="15.75" customHeight="1">
      <c r="E49" s="73">
        <f t="shared" ref="E49:G49" si="53">SUM(E44:E48)</f>
        <v>1047</v>
      </c>
      <c r="F49" s="73">
        <f t="shared" si="53"/>
        <v>1152</v>
      </c>
      <c r="G49" s="73">
        <f t="shared" si="53"/>
        <v>787</v>
      </c>
    </row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1">
    <mergeCell ref="A2:A3"/>
    <mergeCell ref="C2:F2"/>
    <mergeCell ref="G2:J2"/>
    <mergeCell ref="K2:N2"/>
    <mergeCell ref="O2:R2"/>
    <mergeCell ref="S2:V2"/>
    <mergeCell ref="W2:Z2"/>
    <mergeCell ref="B2:B3"/>
    <mergeCell ref="C9:C10"/>
    <mergeCell ref="D9:D10"/>
    <mergeCell ref="E9:E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X9:X10"/>
    <mergeCell ref="Y9:Y10"/>
    <mergeCell ref="Z9:Z10"/>
    <mergeCell ref="Q9:Q10"/>
    <mergeCell ref="R9:R10"/>
    <mergeCell ref="S9:S10"/>
    <mergeCell ref="T9:T10"/>
    <mergeCell ref="U9:U10"/>
    <mergeCell ref="V9:V10"/>
    <mergeCell ref="W9:W10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2022-03-07T10:34:48Z</dcterms:created>
  <dc:creator>Lenovo</dc:creator>
</cp:coreProperties>
</file>